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Projection" sheetId="3" state="visible" r:id="rId3"/>
    <sheet xmlns:r="http://schemas.openxmlformats.org/officeDocument/2006/relationships" name="Unit Economics" sheetId="4" state="visible" r:id="rId4"/>
    <sheet xmlns:r="http://schemas.openxmlformats.org/officeDocument/2006/relationships" name="KPIs" sheetId="5" state="visible" r:id="rId5"/>
  </sheets>
  <definedNames>
    <definedName name="Scenario">Cover!$B$4</definedName>
    <definedName name="StartAcres">Assumptions!$E$4</definedName>
    <definedName name="GrowthY1">Assumptions!$E$5</definedName>
    <definedName name="GrowthY2">Assumptions!$E$6</definedName>
    <definedName name="GrowthY3">Assumptions!$E$7</definedName>
    <definedName name="NRR">Assumptions!$E$8</definedName>
    <definedName name="ARPU">Assumptions!$E$9</definedName>
    <definedName name="GM">Assumptions!$E$10</definedName>
    <definedName name="SM_Y1">Assumptions!$E$11</definedName>
    <definedName name="SM_Growth">Assumptions!$E$12</definedName>
    <definedName name="RD_Heads_Y1">Assumptions!$E$13</definedName>
    <definedName name="RD_Heads_Growth">Assumptions!$E$14</definedName>
    <definedName name="RD_Cost">Assumptions!$E$15</definedName>
    <definedName name="GA_Y1">Assumptions!$E$16</definedName>
    <definedName name="GA_Growth">Assumptions!$E$17</definedName>
    <definedName name="CAC">Assumptions!$E$18</definedName>
    <definedName name="Churn">Assumptions!$E$19</definedName>
    <definedName name="Rev_Y1">Projection!$B$13</definedName>
    <definedName name="Rev_Y3">Projection!$D$13</definedName>
    <definedName name="EBITDA_Y3">Projection!$D$26</definedName>
    <definedName name="Acres_Y3">Projection!$D$8</definedName>
    <definedName name="GP_Y1">Projection!$B$15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#,##0;(#,##0);-"/>
    <numFmt numFmtId="165" formatCode="0.0%;(0.0%);-"/>
    <numFmt numFmtId="166" formatCode="&quot;$&quot;#,##0;(&quot;$&quot;#,##0);-"/>
    <numFmt numFmtId="167" formatCode="0.0"/>
    <numFmt numFmtId="168" formatCode="0.00&quot;x&quot;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color rgb="00006100"/>
      <sz val="10"/>
    </font>
    <font>
      <name val="Arial"/>
      <b val="1"/>
      <color rgb="0014532D"/>
      <sz val="11"/>
    </font>
  </fonts>
  <fills count="5">
    <fill>
      <patternFill/>
    </fill>
    <fill>
      <patternFill patternType="gray125"/>
    </fill>
    <fill>
      <patternFill patternType="solid">
        <fgColor rgb="0014532D"/>
      </patternFill>
    </fill>
    <fill>
      <patternFill patternType="solid">
        <fgColor rgb="00FFF59D"/>
      </patternFill>
    </fill>
    <fill>
      <patternFill patternType="solid">
        <fgColor rgb="00DCFC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3" borderId="0" applyAlignment="1" pivotButton="0" quotePrefix="0" xfId="0">
      <alignment horizontal="center" vertical="center"/>
    </xf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0" fillId="3" borderId="0" pivotButton="0" quotePrefix="0" xfId="0"/>
    <xf numFmtId="0" fontId="2" fillId="4" borderId="0" applyAlignment="1" pivotButton="0" quotePrefix="0" xfId="0">
      <alignment horizontal="center" vertical="center"/>
    </xf>
    <xf numFmtId="164" fontId="3" fillId="0" borderId="0" applyAlignment="1" pivotButton="0" quotePrefix="0" xfId="0">
      <alignment horizontal="right"/>
    </xf>
    <xf numFmtId="164" fontId="4" fillId="3" borderId="0" applyAlignment="1" pivotButton="0" quotePrefix="0" xfId="0">
      <alignment horizontal="right"/>
    </xf>
    <xf numFmtId="165" fontId="3" fillId="0" borderId="0" applyAlignment="1" pivotButton="0" quotePrefix="0" xfId="0">
      <alignment horizontal="right"/>
    </xf>
    <xf numFmtId="165" fontId="4" fillId="3" borderId="0" applyAlignment="1" pivotButton="0" quotePrefix="0" xfId="0">
      <alignment horizontal="right"/>
    </xf>
    <xf numFmtId="166" fontId="3" fillId="0" borderId="0" applyAlignment="1" pivotButton="0" quotePrefix="0" xfId="0">
      <alignment horizontal="right"/>
    </xf>
    <xf numFmtId="166" fontId="4" fillId="3" borderId="0" applyAlignment="1" pivotButton="0" quotePrefix="0" xfId="0">
      <alignment horizontal="right"/>
    </xf>
    <xf numFmtId="0" fontId="5" fillId="0" borderId="0" applyAlignment="1" pivotButton="0" quotePrefix="0" xfId="0">
      <alignment horizontal="center" vertical="center"/>
    </xf>
    <xf numFmtId="0" fontId="6" fillId="4" borderId="0" applyAlignment="1" pivotButton="0" quotePrefix="0" xfId="0">
      <alignment horizontal="left" indent="1"/>
    </xf>
    <xf numFmtId="164" fontId="0" fillId="0" borderId="0" pivotButton="0" quotePrefix="0" xfId="0"/>
    <xf numFmtId="166" fontId="0" fillId="0" borderId="0" pivotButton="0" quotePrefix="0" xfId="0"/>
    <xf numFmtId="166" fontId="2" fillId="0" borderId="0" pivotButton="0" quotePrefix="0" xfId="0"/>
    <xf numFmtId="165" fontId="0" fillId="0" borderId="0" pivotButton="0" quotePrefix="0" xfId="0"/>
    <xf numFmtId="167" fontId="0" fillId="0" borderId="0" pivotButton="0" quotePrefix="0" xfId="0"/>
    <xf numFmtId="0" fontId="2" fillId="4" borderId="0" pivotButton="0" quotePrefix="0" xfId="0"/>
    <xf numFmtId="166" fontId="5" fillId="0" borderId="0" pivotButton="0" quotePrefix="0" xfId="0"/>
    <xf numFmtId="165" fontId="5" fillId="0" borderId="0" pivotButton="0" quotePrefix="0" xfId="0"/>
    <xf numFmtId="168" fontId="2" fillId="0" borderId="0" pivotButton="0" quotePrefix="0" xfId="0"/>
    <xf numFmtId="168" fontId="5" fillId="0" borderId="0" pivotButton="0" quotePrefix="0" xfId="0"/>
    <xf numFmtId="167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80" customWidth="1" min="2" max="2"/>
  </cols>
  <sheetData>
    <row r="1" ht="28" customHeight="1">
      <c r="A1" s="1" t="inlineStr">
        <is>
          <t>BAU Farm Intelligence — 3-Year Financial Model</t>
        </is>
      </c>
    </row>
    <row r="3">
      <c r="A3" s="2" t="inlineStr">
        <is>
          <t>Purpose</t>
        </is>
      </c>
      <c r="B3" t="inlineStr">
        <is>
          <t>Investor-ready bottoms-up projection of revenue, gross margin, opex, and unit economics.</t>
        </is>
      </c>
    </row>
    <row r="4">
      <c r="A4" s="2" t="inlineStr">
        <is>
          <t>Scenario</t>
        </is>
      </c>
      <c r="B4" s="3" t="inlineStr">
        <is>
          <t>Base</t>
        </is>
      </c>
    </row>
    <row r="5">
      <c r="A5" s="2" t="inlineStr">
        <is>
          <t>Last updated</t>
        </is>
      </c>
      <c r="B5" s="4">
        <f>TEXT(TODAY(),"yyyy-mm-dd")</f>
        <v/>
      </c>
    </row>
    <row r="7">
      <c r="A7" s="2" t="inlineStr">
        <is>
          <t>Color key</t>
        </is>
      </c>
    </row>
    <row r="8">
      <c r="A8" s="5" t="inlineStr">
        <is>
          <t>Blue</t>
        </is>
      </c>
      <c r="B8" t="inlineStr">
        <is>
          <t>Hardcoded input (edit freely)</t>
        </is>
      </c>
    </row>
    <row r="9">
      <c r="A9" s="4" t="inlineStr">
        <is>
          <t>Black</t>
        </is>
      </c>
      <c r="B9" t="inlineStr">
        <is>
          <t>Formula / calculation</t>
        </is>
      </c>
    </row>
    <row r="10">
      <c r="A10" s="6" t="inlineStr">
        <is>
          <t>Green</t>
        </is>
      </c>
      <c r="B10" t="inlineStr">
        <is>
          <t>Pulled from another sheet</t>
        </is>
      </c>
    </row>
    <row r="11">
      <c r="A11" s="7" t="inlineStr">
        <is>
          <t>Yellow</t>
        </is>
      </c>
      <c r="B11" t="inlineStr">
        <is>
          <t>Key driver to review</t>
        </is>
      </c>
    </row>
    <row r="13">
      <c r="A13" s="2" t="inlineStr">
        <is>
          <t>Sheets</t>
        </is>
      </c>
    </row>
    <row r="14">
      <c r="A14" t="inlineStr">
        <is>
          <t>Assumptions</t>
        </is>
      </c>
      <c r="B14" t="inlineStr">
        <is>
          <t>Scenario-aware drivers (acres, ARPU, churn, COGS, opex)</t>
        </is>
      </c>
    </row>
    <row r="15">
      <c r="A15" t="inlineStr">
        <is>
          <t>Projection</t>
        </is>
      </c>
      <c r="B15" t="inlineStr">
        <is>
          <t>Yr1–Yr3 P&amp;L, gross margin, cash burn, EBITDA</t>
        </is>
      </c>
    </row>
    <row r="16">
      <c r="A16" t="inlineStr">
        <is>
          <t>Unit Economics</t>
        </is>
      </c>
      <c r="B16" t="inlineStr">
        <is>
          <t>CAC, LTV, payback, gross profit/acre</t>
        </is>
      </c>
    </row>
    <row r="17">
      <c r="A17" t="inlineStr">
        <is>
          <t>KPIs</t>
        </is>
      </c>
      <c r="B17" t="inlineStr">
        <is>
          <t>Headline metrics summarised for the slide</t>
        </is>
      </c>
    </row>
  </sheetData>
  <mergeCells count="1">
    <mergeCell ref="A1:F1"/>
  </mergeCells>
  <dataValidations count="1">
    <dataValidation sqref="B4" showDropDown="0" showInputMessage="0" showErrorMessage="0" allowBlank="0" type="list">
      <formula1>"Base,Bull,Bear"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28" customHeight="1">
      <c r="A1" s="1" t="inlineStr">
        <is>
          <t>Assumptions — drivers by scenario</t>
        </is>
      </c>
    </row>
    <row r="3">
      <c r="A3" s="8" t="inlineStr">
        <is>
          <t>Driver</t>
        </is>
      </c>
      <c r="B3" s="8" t="inlineStr">
        <is>
          <t>Base</t>
        </is>
      </c>
      <c r="C3" s="8" t="inlineStr">
        <is>
          <t>Bull</t>
        </is>
      </c>
      <c r="D3" s="8" t="inlineStr">
        <is>
          <t>Bear</t>
        </is>
      </c>
      <c r="E3" s="8" t="inlineStr">
        <is>
          <t>Active</t>
        </is>
      </c>
    </row>
    <row r="4">
      <c r="A4" s="2" t="inlineStr">
        <is>
          <t>Starting paid acres (end of Yr0)</t>
        </is>
      </c>
      <c r="B4" s="9" t="n">
        <v>1500</v>
      </c>
      <c r="C4" s="9" t="n">
        <v>1500</v>
      </c>
      <c r="D4" s="9" t="n">
        <v>1500</v>
      </c>
      <c r="E4" s="10">
        <f>INDEX(B4:D4,MATCH(Scenario,$B$3:$D$3,0))</f>
        <v/>
      </c>
    </row>
    <row r="5">
      <c r="A5" s="2" t="inlineStr">
        <is>
          <t>Acre growth — Yr1</t>
        </is>
      </c>
      <c r="B5" s="11" t="n">
        <v>1.8</v>
      </c>
      <c r="C5" s="11" t="n">
        <v>2.4</v>
      </c>
      <c r="D5" s="11" t="n">
        <v>1.1</v>
      </c>
      <c r="E5" s="12">
        <f>INDEX(B5:D5,MATCH(Scenario,$B$3:$D$3,0))</f>
        <v/>
      </c>
    </row>
    <row r="6">
      <c r="A6" s="2" t="inlineStr">
        <is>
          <t>Acre growth — Yr2</t>
        </is>
      </c>
      <c r="B6" s="11" t="n">
        <v>1.5</v>
      </c>
      <c r="C6" s="11" t="n">
        <v>2</v>
      </c>
      <c r="D6" s="11" t="n">
        <v>0.8</v>
      </c>
      <c r="E6" s="12">
        <f>INDEX(B6:D6,MATCH(Scenario,$B$3:$D$3,0))</f>
        <v/>
      </c>
    </row>
    <row r="7">
      <c r="A7" s="2" t="inlineStr">
        <is>
          <t>Acre growth — Yr3</t>
        </is>
      </c>
      <c r="B7" s="11" t="n">
        <v>1.1</v>
      </c>
      <c r="C7" s="11" t="n">
        <v>1.6</v>
      </c>
      <c r="D7" s="11" t="n">
        <v>0.5</v>
      </c>
      <c r="E7" s="12">
        <f>INDEX(B7:D7,MATCH(Scenario,$B$3:$D$3,0))</f>
        <v/>
      </c>
    </row>
    <row r="8">
      <c r="A8" s="2" t="inlineStr">
        <is>
          <t>Annual net revenue retention</t>
        </is>
      </c>
      <c r="B8" s="11" t="n">
        <v>1.08</v>
      </c>
      <c r="C8" s="11" t="n">
        <v>1.15</v>
      </c>
      <c r="D8" s="11" t="n">
        <v>0.98</v>
      </c>
      <c r="E8" s="12">
        <f>INDEX(B8:D8,MATCH(Scenario,$B$3:$D$3,0))</f>
        <v/>
      </c>
    </row>
    <row r="9">
      <c r="A9" s="2" t="inlineStr">
        <is>
          <t>ARPU per acre (annual, $)</t>
        </is>
      </c>
      <c r="B9" s="13" t="n">
        <v>38</v>
      </c>
      <c r="C9" s="13" t="n">
        <v>44</v>
      </c>
      <c r="D9" s="13" t="n">
        <v>32</v>
      </c>
      <c r="E9" s="14">
        <f>INDEX(B9:D9,MATCH(Scenario,$B$3:$D$3,0))</f>
        <v/>
      </c>
    </row>
    <row r="10">
      <c r="A10" s="2" t="inlineStr">
        <is>
          <t>Gross margin %</t>
        </is>
      </c>
      <c r="B10" s="11" t="n">
        <v>0.78</v>
      </c>
      <c r="C10" s="11" t="n">
        <v>0.82</v>
      </c>
      <c r="D10" s="11" t="n">
        <v>0.7</v>
      </c>
      <c r="E10" s="12">
        <f>INDEX(B10:D10,MATCH(Scenario,$B$3:$D$3,0))</f>
        <v/>
      </c>
    </row>
    <row r="11">
      <c r="A11" s="2" t="inlineStr">
        <is>
          <t>Sales &amp; marketing ($/yr, Yr1)</t>
        </is>
      </c>
      <c r="B11" s="13" t="n">
        <v>420000</v>
      </c>
      <c r="C11" s="13" t="n">
        <v>520000</v>
      </c>
      <c r="D11" s="13" t="n">
        <v>320000</v>
      </c>
      <c r="E11" s="14">
        <f>INDEX(B11:D11,MATCH(Scenario,$B$3:$D$3,0))</f>
        <v/>
      </c>
    </row>
    <row r="12">
      <c r="A12" s="2" t="inlineStr">
        <is>
          <t>S&amp;M growth per year</t>
        </is>
      </c>
      <c r="B12" s="11" t="n">
        <v>0.35</v>
      </c>
      <c r="C12" s="11" t="n">
        <v>0.45</v>
      </c>
      <c r="D12" s="11" t="n">
        <v>0.2</v>
      </c>
      <c r="E12" s="12">
        <f>INDEX(B12:D12,MATCH(Scenario,$B$3:$D$3,0))</f>
        <v/>
      </c>
    </row>
    <row r="13">
      <c r="A13" s="2" t="inlineStr">
        <is>
          <t>R&amp;D headcount (avg, Yr1)</t>
        </is>
      </c>
      <c r="B13" s="9" t="n">
        <v>6</v>
      </c>
      <c r="C13" s="9" t="n">
        <v>8</v>
      </c>
      <c r="D13" s="9" t="n">
        <v>4</v>
      </c>
      <c r="E13" s="10">
        <f>INDEX(B13:D13,MATCH(Scenario,$B$3:$D$3,0))</f>
        <v/>
      </c>
    </row>
    <row r="14">
      <c r="A14" s="2" t="inlineStr">
        <is>
          <t>R&amp;D headcount growth</t>
        </is>
      </c>
      <c r="B14" s="11" t="n">
        <v>0.3</v>
      </c>
      <c r="C14" s="11" t="n">
        <v>0.45</v>
      </c>
      <c r="D14" s="11" t="n">
        <v>0.1</v>
      </c>
      <c r="E14" s="12">
        <f>INDEX(B14:D14,MATCH(Scenario,$B$3:$D$3,0))</f>
        <v/>
      </c>
    </row>
    <row r="15">
      <c r="A15" s="2" t="inlineStr">
        <is>
          <t>Fully-loaded cost per R&amp;D head ($)</t>
        </is>
      </c>
      <c r="B15" s="13" t="n">
        <v>165000</v>
      </c>
      <c r="C15" s="13" t="n">
        <v>175000</v>
      </c>
      <c r="D15" s="13" t="n">
        <v>150000</v>
      </c>
      <c r="E15" s="14">
        <f>INDEX(B15:D15,MATCH(Scenario,$B$3:$D$3,0))</f>
        <v/>
      </c>
    </row>
    <row r="16">
      <c r="A16" s="2" t="inlineStr">
        <is>
          <t>G&amp;A ($/yr, Yr1)</t>
        </is>
      </c>
      <c r="B16" s="13" t="n">
        <v>240000</v>
      </c>
      <c r="C16" s="13" t="n">
        <v>280000</v>
      </c>
      <c r="D16" s="13" t="n">
        <v>200000</v>
      </c>
      <c r="E16" s="14">
        <f>INDEX(B16:D16,MATCH(Scenario,$B$3:$D$3,0))</f>
        <v/>
      </c>
    </row>
    <row r="17">
      <c r="A17" s="2" t="inlineStr">
        <is>
          <t>G&amp;A growth per year</t>
        </is>
      </c>
      <c r="B17" s="11" t="n">
        <v>0.2</v>
      </c>
      <c r="C17" s="11" t="n">
        <v>0.25</v>
      </c>
      <c r="D17" s="11" t="n">
        <v>0.1</v>
      </c>
      <c r="E17" s="12">
        <f>INDEX(B17:D17,MATCH(Scenario,$B$3:$D$3,0))</f>
        <v/>
      </c>
    </row>
    <row r="18">
      <c r="A18" s="2" t="inlineStr">
        <is>
          <t>CAC per new acre ($)</t>
        </is>
      </c>
      <c r="B18" s="13" t="n">
        <v>22</v>
      </c>
      <c r="C18" s="13" t="n">
        <v>18</v>
      </c>
      <c r="D18" s="13" t="n">
        <v>30</v>
      </c>
      <c r="E18" s="14">
        <f>INDEX(B18:D18,MATCH(Scenario,$B$3:$D$3,0))</f>
        <v/>
      </c>
    </row>
    <row r="19">
      <c r="A19" s="2" t="inlineStr">
        <is>
          <t>Logo gross churn (annual)</t>
        </is>
      </c>
      <c r="B19" s="11" t="n">
        <v>0.06</v>
      </c>
      <c r="C19" s="11" t="n">
        <v>0.04</v>
      </c>
      <c r="D19" s="11" t="n">
        <v>0.12</v>
      </c>
      <c r="E19" s="12">
        <f>INDEX(B19:D19,MATCH(Scenario,$B$3:$D$3,0))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  <col width="16" customWidth="1" min="4" max="4"/>
  </cols>
  <sheetData>
    <row r="1" ht="28" customHeight="1">
      <c r="A1" s="1" t="inlineStr">
        <is>
          <t>Projection — 3-year P&amp;L</t>
        </is>
      </c>
    </row>
    <row r="3">
      <c r="A3" s="2" t="inlineStr">
        <is>
          <t>Scenario:</t>
        </is>
      </c>
      <c r="B3" s="15">
        <f>Scenario</f>
        <v/>
      </c>
    </row>
    <row r="5">
      <c r="A5" t="inlineStr"/>
      <c r="B5" s="8" t="inlineStr">
        <is>
          <t>Yr 1</t>
        </is>
      </c>
      <c r="C5" s="8" t="inlineStr">
        <is>
          <t>Yr 2</t>
        </is>
      </c>
      <c r="D5" s="8" t="inlineStr">
        <is>
          <t>Yr 3</t>
        </is>
      </c>
    </row>
    <row r="6">
      <c r="A6" s="16" t="inlineStr">
        <is>
          <t>Acres under management</t>
        </is>
      </c>
    </row>
    <row r="7">
      <c r="A7" s="4" t="inlineStr">
        <is>
          <t xml:space="preserve">  Beginning acres</t>
        </is>
      </c>
      <c r="B7" s="17">
        <f>StartAcres</f>
        <v/>
      </c>
      <c r="C7" s="17">
        <f>B8</f>
        <v/>
      </c>
      <c r="D7" s="17">
        <f>C8</f>
        <v/>
      </c>
    </row>
    <row r="8">
      <c r="A8" s="4" t="inlineStr">
        <is>
          <t xml:space="preserve">  Ending paid acres</t>
        </is>
      </c>
      <c r="B8" s="17">
        <f>B7*(1+GrowthY1)</f>
        <v/>
      </c>
      <c r="C8" s="17">
        <f>C7*(1+GrowthY2)</f>
        <v/>
      </c>
      <c r="D8" s="17">
        <f>D7*(1+GrowthY3)</f>
        <v/>
      </c>
    </row>
    <row r="9">
      <c r="A9" s="4" t="inlineStr">
        <is>
          <t xml:space="preserve">  Avg paid acres (period)</t>
        </is>
      </c>
      <c r="B9" s="17">
        <f>AVERAGE(B7,B8)</f>
        <v/>
      </c>
      <c r="C9" s="17">
        <f>AVERAGE(C7,C8)</f>
        <v/>
      </c>
      <c r="D9" s="17">
        <f>AVERAGE(D7,D8)</f>
        <v/>
      </c>
    </row>
    <row r="11">
      <c r="A11" s="16" t="inlineStr">
        <is>
          <t>Revenue &amp; gross margin</t>
        </is>
      </c>
    </row>
    <row r="12">
      <c r="A12" t="inlineStr">
        <is>
          <t xml:space="preserve">  ARPU per acre</t>
        </is>
      </c>
      <c r="B12" s="18">
        <f>ARPU*POWER(NRR,0)</f>
        <v/>
      </c>
      <c r="C12" s="18">
        <f>ARPU*POWER(NRR,1)</f>
        <v/>
      </c>
      <c r="D12" s="18">
        <f>ARPU*POWER(NRR,2)</f>
        <v/>
      </c>
    </row>
    <row r="13">
      <c r="A13" t="inlineStr">
        <is>
          <t xml:space="preserve">  Revenue</t>
        </is>
      </c>
      <c r="B13" s="19">
        <f>B9*B12</f>
        <v/>
      </c>
      <c r="C13" s="19">
        <f>C9*C12</f>
        <v/>
      </c>
      <c r="D13" s="19">
        <f>D9*D12</f>
        <v/>
      </c>
    </row>
    <row r="14">
      <c r="A14" t="inlineStr">
        <is>
          <t xml:space="preserve">  COGS</t>
        </is>
      </c>
      <c r="B14" s="18">
        <f>-B13*(1-GM)</f>
        <v/>
      </c>
      <c r="C14" s="18">
        <f>-C13*(1-GM)</f>
        <v/>
      </c>
      <c r="D14" s="18">
        <f>-D13*(1-GM)</f>
        <v/>
      </c>
    </row>
    <row r="15">
      <c r="A15" t="inlineStr">
        <is>
          <t xml:space="preserve">  Gross profit</t>
        </is>
      </c>
      <c r="B15" s="19">
        <f>B13+B14</f>
        <v/>
      </c>
      <c r="C15" s="19">
        <f>C13+C14</f>
        <v/>
      </c>
      <c r="D15" s="19">
        <f>D13+D14</f>
        <v/>
      </c>
    </row>
    <row r="16">
      <c r="A16" t="inlineStr">
        <is>
          <t xml:space="preserve">  Gross margin %</t>
        </is>
      </c>
      <c r="B16" s="20">
        <f>IF(B13=0,0,B15/B13)</f>
        <v/>
      </c>
      <c r="C16" s="20">
        <f>IF(C13=0,0,C15/C13)</f>
        <v/>
      </c>
      <c r="D16" s="20">
        <f>IF(D13=0,0,D15/D13)</f>
        <v/>
      </c>
    </row>
    <row r="18">
      <c r="A18" s="16" t="inlineStr">
        <is>
          <t>Operating expenses</t>
        </is>
      </c>
    </row>
    <row r="19">
      <c r="A19" t="inlineStr">
        <is>
          <t xml:space="preserve">  Sales &amp; marketing</t>
        </is>
      </c>
      <c r="B19" s="18">
        <f>-SM_Y1</f>
        <v/>
      </c>
      <c r="C19" s="18">
        <f>B19*(1+SM_Growth)</f>
        <v/>
      </c>
      <c r="D19" s="18">
        <f>C19*(1+SM_Growth)</f>
        <v/>
      </c>
    </row>
    <row r="20">
      <c r="A20" t="inlineStr">
        <is>
          <t xml:space="preserve">  R&amp;D headcount (avg)</t>
        </is>
      </c>
      <c r="B20" s="21">
        <f>RD_Heads_Y1</f>
        <v/>
      </c>
      <c r="C20" s="21">
        <f>B20*(1+RD_Heads_Growth)</f>
        <v/>
      </c>
      <c r="D20" s="21">
        <f>C20*(1+RD_Heads_Growth)</f>
        <v/>
      </c>
    </row>
    <row r="21">
      <c r="A21" t="inlineStr">
        <is>
          <t xml:space="preserve">  R&amp;D cost</t>
        </is>
      </c>
      <c r="B21" s="18">
        <f>-B20*RD_Cost</f>
        <v/>
      </c>
      <c r="C21" s="18">
        <f>-C20*RD_Cost</f>
        <v/>
      </c>
      <c r="D21" s="18">
        <f>-D20*RD_Cost</f>
        <v/>
      </c>
    </row>
    <row r="22">
      <c r="A22" t="inlineStr">
        <is>
          <t xml:space="preserve">  G&amp;A</t>
        </is>
      </c>
      <c r="B22" s="18">
        <f>-GA_Y1</f>
        <v/>
      </c>
      <c r="C22" s="18">
        <f>B22*(1+GA_Growth)</f>
        <v/>
      </c>
      <c r="D22" s="18">
        <f>C22*(1+GA_Growth)</f>
        <v/>
      </c>
    </row>
    <row r="23">
      <c r="A23" s="2" t="inlineStr">
        <is>
          <t xml:space="preserve">  Total opex</t>
        </is>
      </c>
      <c r="B23" s="19">
        <f>B19+B21+B22</f>
        <v/>
      </c>
      <c r="C23" s="19">
        <f>C19+C21+C22</f>
        <v/>
      </c>
      <c r="D23" s="19">
        <f>D19+D21+D22</f>
        <v/>
      </c>
    </row>
    <row r="25">
      <c r="A25" s="16" t="inlineStr">
        <is>
          <t>EBITDA &amp; cash</t>
        </is>
      </c>
    </row>
    <row r="26">
      <c r="A26" s="2" t="inlineStr">
        <is>
          <t xml:space="preserve">  EBITDA</t>
        </is>
      </c>
      <c r="B26" s="19">
        <f>B15+B23</f>
        <v/>
      </c>
      <c r="C26" s="19">
        <f>C15+C23</f>
        <v/>
      </c>
      <c r="D26" s="19">
        <f>D15+D23</f>
        <v/>
      </c>
    </row>
    <row r="27">
      <c r="A27" t="inlineStr">
        <is>
          <t xml:space="preserve">  EBITDA margin %</t>
        </is>
      </c>
      <c r="B27" s="20">
        <f>IF(B13=0,0,B26/B13)</f>
        <v/>
      </c>
      <c r="C27" s="20">
        <f>IF(C13=0,0,C26/C13)</f>
        <v/>
      </c>
      <c r="D27" s="20">
        <f>IF(D13=0,0,D26/D13)</f>
        <v/>
      </c>
    </row>
    <row r="28">
      <c r="A28" t="inlineStr">
        <is>
          <t xml:space="preserve">  Cumulative cash burn</t>
        </is>
      </c>
      <c r="B28" s="18">
        <f>MIN(0,B26)</f>
        <v/>
      </c>
      <c r="C28" s="18">
        <f>B28+MIN(0,C26)</f>
        <v/>
      </c>
      <c r="D28" s="18">
        <f>C28+MIN(0,D26)</f>
        <v/>
      </c>
    </row>
  </sheetData>
  <mergeCells count="5">
    <mergeCell ref="A11:F11"/>
    <mergeCell ref="A1:F1"/>
    <mergeCell ref="A6:F6"/>
    <mergeCell ref="A18:F18"/>
    <mergeCell ref="A25:F2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48" customWidth="1" min="3" max="3"/>
  </cols>
  <sheetData>
    <row r="1" ht="28" customHeight="1">
      <c r="A1" s="1" t="inlineStr">
        <is>
          <t>Unit economics — per acre</t>
        </is>
      </c>
    </row>
    <row r="3">
      <c r="A3" s="22" t="inlineStr">
        <is>
          <t>Metric</t>
        </is>
      </c>
      <c r="B3" s="22" t="inlineStr">
        <is>
          <t>Value</t>
        </is>
      </c>
      <c r="C3" s="22" t="inlineStr">
        <is>
          <t>Notes</t>
        </is>
      </c>
    </row>
    <row r="4">
      <c r="A4" t="inlineStr">
        <is>
          <t>ARPU per acre (Yr1)</t>
        </is>
      </c>
      <c r="B4" s="23">
        <f>ARPU</f>
        <v/>
      </c>
      <c r="C4" t="inlineStr">
        <is>
          <t>Pulled from Assumptions (Active scenario)</t>
        </is>
      </c>
    </row>
    <row r="5">
      <c r="A5" t="inlineStr">
        <is>
          <t>Gross margin %</t>
        </is>
      </c>
      <c r="B5" s="24">
        <f>GM</f>
        <v/>
      </c>
    </row>
    <row r="6">
      <c r="A6" t="inlineStr">
        <is>
          <t>Gross profit per acre / yr</t>
        </is>
      </c>
      <c r="B6" s="18">
        <f>B4*B5</f>
        <v/>
      </c>
    </row>
    <row r="7">
      <c r="A7" t="inlineStr">
        <is>
          <t>CAC per new acre</t>
        </is>
      </c>
      <c r="B7" s="23">
        <f>CAC</f>
        <v/>
      </c>
    </row>
    <row r="8">
      <c r="A8" t="inlineStr">
        <is>
          <t>Logo gross churn</t>
        </is>
      </c>
      <c r="B8" s="24">
        <f>Churn</f>
        <v/>
      </c>
    </row>
    <row r="9">
      <c r="A9" t="inlineStr">
        <is>
          <t>Avg customer life (yrs)</t>
        </is>
      </c>
      <c r="B9" s="21">
        <f>IF(Churn=0,10,1/Churn)</f>
        <v/>
      </c>
    </row>
    <row r="10">
      <c r="A10" t="inlineStr">
        <is>
          <t>LTV per acre</t>
        </is>
      </c>
      <c r="B10" s="19">
        <f>B6*B9</f>
        <v/>
      </c>
      <c r="C10" t="inlineStr">
        <is>
          <t>LTV = GP per acre × avg life</t>
        </is>
      </c>
    </row>
    <row r="11">
      <c r="A11" t="inlineStr">
        <is>
          <t>LTV / CAC</t>
        </is>
      </c>
      <c r="B11" s="25">
        <f>IF(B7=0,0,B10/B7)</f>
        <v/>
      </c>
      <c r="C11" t="inlineStr">
        <is>
          <t>Healthy ≥ 3x</t>
        </is>
      </c>
    </row>
    <row r="12">
      <c r="A12" t="inlineStr">
        <is>
          <t>CAC payback (months)</t>
        </is>
      </c>
      <c r="B12" s="21">
        <f>IF(B6=0,0,B7/(B6/12))</f>
        <v/>
      </c>
      <c r="C12" t="inlineStr">
        <is>
          <t>Investor benchmark &lt; 18 months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</cols>
  <sheetData>
    <row r="1" ht="28" customHeight="1">
      <c r="A1" s="1" t="inlineStr">
        <is>
          <t>KPI summary</t>
        </is>
      </c>
    </row>
    <row r="3">
      <c r="A3" s="22" t="inlineStr">
        <is>
          <t>Headline metric</t>
        </is>
      </c>
      <c r="B3" s="22" t="inlineStr">
        <is>
          <t>Value</t>
        </is>
      </c>
    </row>
    <row r="4">
      <c r="A4" t="inlineStr">
        <is>
          <t>Active scenario</t>
        </is>
      </c>
      <c r="B4" s="15">
        <f>Scenario</f>
        <v/>
      </c>
    </row>
    <row r="5">
      <c r="A5" t="inlineStr">
        <is>
          <t>Yr1 revenue</t>
        </is>
      </c>
      <c r="B5" s="18">
        <f>Rev_Y1</f>
        <v/>
      </c>
    </row>
    <row r="6">
      <c r="A6" t="inlineStr">
        <is>
          <t>Yr3 revenue</t>
        </is>
      </c>
      <c r="B6" s="18">
        <f>Rev_Y3</f>
        <v/>
      </c>
    </row>
    <row r="7">
      <c r="A7" t="inlineStr">
        <is>
          <t>Yr1 → Yr3 revenue CAGR</t>
        </is>
      </c>
      <c r="B7" s="20">
        <f>IF(Rev_Y1&lt;=0,0,(Rev_Y3/Rev_Y1)^(1/2)-1)</f>
        <v/>
      </c>
    </row>
    <row r="8">
      <c r="A8" t="inlineStr">
        <is>
          <t>Yr3 EBITDA</t>
        </is>
      </c>
      <c r="B8" s="18">
        <f>EBITDA_Y3</f>
        <v/>
      </c>
    </row>
    <row r="9">
      <c r="A9" t="inlineStr">
        <is>
          <t>Yr3 EBITDA margin</t>
        </is>
      </c>
      <c r="B9" s="20">
        <f>IF(Rev_Y3=0,0,EBITDA_Y3/Rev_Y3)</f>
        <v/>
      </c>
    </row>
    <row r="10">
      <c r="A10" t="inlineStr">
        <is>
          <t>Yr3 paid acres</t>
        </is>
      </c>
      <c r="B10" s="17">
        <f>Acres_Y3</f>
        <v/>
      </c>
    </row>
    <row r="11">
      <c r="A11" t="inlineStr">
        <is>
          <t>LTV / CAC</t>
        </is>
      </c>
      <c r="B11" s="26">
        <f>'Unit Economics'!B11</f>
        <v/>
      </c>
    </row>
    <row r="12">
      <c r="A12" t="inlineStr">
        <is>
          <t>CAC payback (mo)</t>
        </is>
      </c>
      <c r="B12" s="27">
        <f>'Unit Economics'!B12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2026-06-14T20:05:10Z</dcterms:created>
  <dcterms:modified xmlns:dcterms="http://purl.org/dc/terms/" xmlns:xsi="http://www.w3.org/2001/XMLSchema-instance" xsi:type="dcterms:W3CDTF">2026-06-14T20:05:10Z</dcterms:modified>
</cp:coreProperties>
</file>